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416" windowHeight="601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<sst xmlns="http://schemas.openxmlformats.org/spreadsheetml/2006/main" count="93" uniqueCount="51">
  <si>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</si>
  <si>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</si>
  <si>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</si>
  <si>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</si>
  <si>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</si>
  <si>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</si>
  <si>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</si>
  <si>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</si>
  <si>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</si>
  <si>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</si>
  <si>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</si>
  <si>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</si>
  <si>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</si>
  <si>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</si>
  <si>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</si>
  <si>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</si>
  <si>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</si>
  <si>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</si>
  <si>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</si>
  <si>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</si>
  <si>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</si>
  <si>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</si>
  <si>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</si>
  <si>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</si>
  <si>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</si>
  <si>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</si>
  <si>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</si>
  <si>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</si>
  <si>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</si>
  <si>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</si>
  <si>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</si>
  <si>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</si>
  <si>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</si>
  <si>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</si>
  <si>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</si>
  <si>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</si>
  <si>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</si>
  <si>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</si>
  <si>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</si>
  <si>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</si>
  <si>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ПС 35/6кВ Трусовская</t>
  </si>
  <si>
    <t>ТП 1026</t>
  </si>
  <si>
    <t>2БРТП №24</t>
  </si>
  <si>
    <t>2БКТП №48</t>
  </si>
  <si>
    <t>ПС 110/10/6кВ Царевская</t>
  </si>
  <si>
    <t>ф.119,128</t>
  </si>
  <si>
    <t>КПТСО58</t>
  </si>
  <si>
    <t>ф. 10,17</t>
  </si>
  <si>
    <t>КТП 48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</si>
  <si>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за 4 квартал 2019 </t>
  </si>
  <si>
    <t>2БКТП №52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</si>
</sst>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7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34" borderId="20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 applyProtection="1">
      <alignment horizontal="center" vertical="center"/>
      <protection hidden="1"/>
    </xf>
    <xf numFmtId="172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34" borderId="29" xfId="0" applyFont="1" applyFill="1" applyBorder="1" applyAlignment="1">
      <alignment horizontal="center" vertical="center"/>
    </xf>
    <xf numFmtId="172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34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172" fontId="6" fillId="34" borderId="15" xfId="0" applyNumberFormat="1" applyFont="1" applyFill="1" applyBorder="1" applyAlignment="1" applyProtection="1">
      <alignment horizontal="center" vertical="center"/>
      <protection hidden="1"/>
    </xf>
    <xf numFmtId="172" fontId="6" fillId="34" borderId="14" xfId="0" applyNumberFormat="1" applyFont="1" applyFill="1" applyBorder="1" applyAlignment="1" applyProtection="1">
      <alignment horizontal="center" vertical="center"/>
      <protection hidden="1"/>
    </xf>
    <xf numFmtId="172" fontId="6" fillId="34" borderId="20" xfId="0" applyNumberFormat="1" applyFont="1" applyFill="1" applyBorder="1" applyAlignment="1" applyProtection="1">
      <alignment horizontal="center" vertical="center"/>
      <protection hidden="1"/>
    </xf>
    <xf numFmtId="172" fontId="6" fillId="34" borderId="17" xfId="0" applyNumberFormat="1" applyFont="1" applyFill="1" applyBorder="1" applyAlignment="1" applyProtection="1">
      <alignment horizontal="center" vertical="center"/>
      <protection hidden="1"/>
    </xf>
    <xf numFmtId="172" fontId="6" fillId="34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32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177" fontId="5" fillId="34" borderId="21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33" xfId="0" applyFont="1" applyBorder="1" applyAlignment="1">
      <alignment horizontal="center" vertical="top"/>
    </xf>
    <xf numFmtId="0" fontId="5" fillId="34" borderId="34" xfId="0" applyFont="1" applyFill="1" applyBorder="1" applyAlignment="1">
      <alignment horizontal="center" vertical="center" wrapText="1"/>
    </xf>
    <xf numFmtId="172" fontId="6" fillId="34" borderId="34" xfId="0" applyNumberFormat="1" applyFont="1" applyFill="1" applyBorder="1" applyAlignment="1" applyProtection="1">
      <alignment horizontal="center" vertical="center"/>
      <protection hidden="1"/>
    </xf>
    <xf numFmtId="172" fontId="6" fillId="0" borderId="15" xfId="77" applyNumberFormat="1" applyFont="1" applyFill="1" applyBorder="1" applyAlignment="1">
      <alignment horizontal="center" vertical="center"/>
    </xf>
    <xf numFmtId="172" fontId="6" fillId="0" borderId="14" xfId="77" applyNumberFormat="1" applyFont="1" applyFill="1" applyBorder="1" applyAlignment="1">
      <alignment horizontal="center" vertical="center"/>
    </xf>
    <xf numFmtId="178" fontId="6" fillId="0" borderId="14" xfId="77" applyNumberFormat="1" applyFont="1" applyFill="1" applyBorder="1" applyAlignment="1">
      <alignment horizontal="center" vertical="center"/>
    </xf>
    <xf numFmtId="172" fontId="6" fillId="0" borderId="14" xfId="77" applyNumberFormat="1" applyFont="1" applyFill="1" applyBorder="1" applyAlignment="1" applyProtection="1">
      <alignment horizontal="center" vertical="center"/>
      <protection hidden="1"/>
    </xf>
    <xf numFmtId="172" fontId="6" fillId="0" borderId="20" xfId="77" applyNumberFormat="1" applyFont="1" applyFill="1" applyBorder="1" applyAlignment="1">
      <alignment horizontal="center" vertical="center"/>
    </xf>
    <xf numFmtId="172" fontId="6" fillId="0" borderId="21" xfId="77" applyNumberFormat="1" applyFont="1" applyFill="1" applyBorder="1" applyAlignment="1" applyProtection="1">
      <alignment horizontal="center" vertical="center"/>
      <protection hidden="1"/>
    </xf>
    <xf numFmtId="172" fontId="6" fillId="0" borderId="15" xfId="77" applyNumberFormat="1" applyFont="1" applyFill="1" applyBorder="1" applyAlignment="1" applyProtection="1">
      <alignment horizontal="center" vertical="center"/>
      <protection hidden="1"/>
    </xf>
    <xf numFmtId="172" fontId="6" fillId="0" borderId="17" xfId="77" applyNumberFormat="1" applyFont="1" applyFill="1" applyBorder="1" applyAlignment="1" applyProtection="1">
      <alignment horizontal="center" vertical="center"/>
      <protection hidden="1"/>
    </xf>
    <xf numFmtId="172" fontId="6" fillId="0" borderId="20" xfId="77" applyNumberFormat="1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172" fontId="4" fillId="33" borderId="44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5" zoomScaleNormal="85" zoomScalePageLayoutView="0" workbookViewId="0" topLeftCell="A1">
      <selection activeCell="J17" sqref="J17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3" max="13" width="13.8515625" style="0" customWidth="1"/>
  </cols>
  <sheetData>
    <row r="1" spans="1:12" ht="48" customHeight="1">
      <c r="A1" s="125" t="s">
        <v>49</v>
      </c>
      <c r="B1" s="125"/>
      <c r="C1" s="125"/>
      <c r="D1" s="125"/>
      <c r="E1" s="125"/>
      <c r="F1" s="125"/>
      <c r="G1" s="125"/>
      <c r="H1" s="125"/>
      <c r="I1" s="126"/>
      <c r="J1" s="126"/>
      <c r="K1" s="125"/>
      <c r="L1" s="125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33" t="s">
        <v>0</v>
      </c>
      <c r="B3" s="136" t="s">
        <v>1</v>
      </c>
      <c r="C3" s="142" t="s">
        <v>2</v>
      </c>
      <c r="D3" s="142" t="s">
        <v>3</v>
      </c>
      <c r="E3" s="142" t="s">
        <v>4</v>
      </c>
      <c r="F3" s="127" t="s">
        <v>5</v>
      </c>
      <c r="G3" s="128"/>
      <c r="H3" s="128"/>
      <c r="I3" s="145" t="s">
        <v>6</v>
      </c>
      <c r="J3" s="145" t="s">
        <v>7</v>
      </c>
      <c r="K3" s="139" t="s">
        <v>8</v>
      </c>
      <c r="L3" s="139" t="s">
        <v>9</v>
      </c>
    </row>
    <row r="4" spans="1:12" ht="15" thickBot="1">
      <c r="A4" s="134"/>
      <c r="B4" s="137"/>
      <c r="C4" s="143"/>
      <c r="D4" s="143"/>
      <c r="E4" s="143"/>
      <c r="F4" s="8" t="s">
        <v>10</v>
      </c>
      <c r="G4" s="9" t="s">
        <v>11</v>
      </c>
      <c r="H4" s="9" t="s">
        <v>12</v>
      </c>
      <c r="I4" s="146"/>
      <c r="J4" s="146"/>
      <c r="K4" s="141"/>
      <c r="L4" s="140"/>
    </row>
    <row r="5" spans="1:12" ht="15" thickBot="1">
      <c r="A5" s="135"/>
      <c r="B5" s="138"/>
      <c r="C5" s="144"/>
      <c r="D5" s="144"/>
      <c r="E5" s="144"/>
      <c r="F5" s="129" t="s">
        <v>13</v>
      </c>
      <c r="G5" s="130"/>
      <c r="H5" s="130"/>
      <c r="I5" s="10" t="s">
        <v>14</v>
      </c>
      <c r="J5" s="11" t="s">
        <v>15</v>
      </c>
      <c r="K5" s="12" t="s">
        <v>16</v>
      </c>
      <c r="L5" s="141"/>
    </row>
    <row r="6" spans="1:15" ht="15" thickBot="1">
      <c r="A6" s="55">
        <v>1</v>
      </c>
      <c r="B6" s="53">
        <v>2</v>
      </c>
      <c r="C6" s="56">
        <v>3</v>
      </c>
      <c r="D6" s="56">
        <v>4</v>
      </c>
      <c r="E6" s="56">
        <v>5</v>
      </c>
      <c r="F6" s="131">
        <v>6</v>
      </c>
      <c r="G6" s="132"/>
      <c r="H6" s="132"/>
      <c r="I6" s="57">
        <v>7</v>
      </c>
      <c r="J6" s="58">
        <v>8</v>
      </c>
      <c r="K6" s="56">
        <v>9</v>
      </c>
      <c r="L6" s="59">
        <v>10</v>
      </c>
      <c r="O6" s="69"/>
    </row>
    <row r="7" spans="1:15" ht="14.25" customHeight="1">
      <c r="A7" s="20">
        <v>1</v>
      </c>
      <c r="B7" s="118" t="s">
        <v>17</v>
      </c>
      <c r="C7" s="21" t="s">
        <v>31</v>
      </c>
      <c r="D7" s="19" t="s">
        <v>30</v>
      </c>
      <c r="E7" s="19" t="s">
        <v>20</v>
      </c>
      <c r="F7" s="75">
        <v>0.4</v>
      </c>
      <c r="G7" s="39">
        <v>0.4</v>
      </c>
      <c r="H7" s="39"/>
      <c r="I7" s="74">
        <f>(((71+65)/832)*0.89)/1000</f>
        <v>0.00014548076923076925</v>
      </c>
      <c r="J7" s="109">
        <v>0</v>
      </c>
      <c r="K7" s="74">
        <f>(G7-I7)*0.89-J7</f>
        <v>0.35587052211538467</v>
      </c>
      <c r="L7" s="97" t="s">
        <v>21</v>
      </c>
      <c r="M7" s="68"/>
      <c r="N7" s="69"/>
      <c r="O7" s="69"/>
    </row>
    <row r="8" spans="1:16" ht="15.75" customHeight="1">
      <c r="A8" s="64">
        <v>2</v>
      </c>
      <c r="B8" s="119"/>
      <c r="C8" s="80" t="s">
        <v>18</v>
      </c>
      <c r="D8" s="87" t="s">
        <v>19</v>
      </c>
      <c r="E8" s="47" t="s">
        <v>20</v>
      </c>
      <c r="F8" s="76">
        <v>0.16</v>
      </c>
      <c r="G8" s="40">
        <v>0.16</v>
      </c>
      <c r="H8" s="40"/>
      <c r="I8" s="83">
        <f>(((4680+6140+1313+5857)/832)*0.89)/1000</f>
        <v>0.019244110576923077</v>
      </c>
      <c r="J8" s="110">
        <v>0.03</v>
      </c>
      <c r="K8" s="83">
        <f>(G8-I8)*0.89-J8</f>
        <v>0.09527274158653848</v>
      </c>
      <c r="L8" s="98" t="s">
        <v>21</v>
      </c>
      <c r="M8" s="68"/>
      <c r="N8" s="69"/>
      <c r="O8" s="30"/>
      <c r="P8" s="51"/>
    </row>
    <row r="9" spans="1:15" s="51" customFormat="1" ht="15.75" customHeight="1" thickBot="1">
      <c r="A9" s="65">
        <v>3</v>
      </c>
      <c r="B9" s="120"/>
      <c r="C9" s="81" t="s">
        <v>18</v>
      </c>
      <c r="D9" s="88" t="s">
        <v>46</v>
      </c>
      <c r="E9" s="79" t="s">
        <v>20</v>
      </c>
      <c r="F9" s="77">
        <v>0.004</v>
      </c>
      <c r="G9" s="66">
        <v>0.004</v>
      </c>
      <c r="H9" s="67"/>
      <c r="I9" s="85">
        <f>(((1522+1472)/832)*0.89)/1000</f>
        <v>0.0032027163461538465</v>
      </c>
      <c r="J9" s="110">
        <v>0</v>
      </c>
      <c r="K9" s="85">
        <f>(G9-I9)*0.89-J9</f>
        <v>0.0007095824519230767</v>
      </c>
      <c r="L9" s="99" t="s">
        <v>21</v>
      </c>
      <c r="M9" s="68"/>
      <c r="N9" s="69"/>
      <c r="O9" s="69"/>
    </row>
    <row r="10" spans="1:17" ht="14.25" customHeight="1">
      <c r="A10" s="60">
        <v>4</v>
      </c>
      <c r="B10" s="124" t="s">
        <v>22</v>
      </c>
      <c r="C10" s="61" t="s">
        <v>32</v>
      </c>
      <c r="D10" s="89" t="s">
        <v>23</v>
      </c>
      <c r="E10" s="62" t="s">
        <v>24</v>
      </c>
      <c r="F10" s="78">
        <f>G10+H10</f>
        <v>1.63</v>
      </c>
      <c r="G10" s="63">
        <v>1</v>
      </c>
      <c r="H10" s="63">
        <v>0.63</v>
      </c>
      <c r="I10" s="82">
        <f>(((4346+38+1033+937+11646+20269+301+563)/832)*0.89)/1000</f>
        <v>0.041861021634615386</v>
      </c>
      <c r="J10" s="109">
        <v>0.005</v>
      </c>
      <c r="K10" s="82">
        <f>(H10*1.05-I10)*0.89-J10</f>
        <v>0.5464786907451924</v>
      </c>
      <c r="L10" s="100" t="s">
        <v>21</v>
      </c>
      <c r="M10" s="68"/>
      <c r="N10" s="70"/>
      <c r="O10" s="70"/>
      <c r="P10" s="52"/>
      <c r="Q10" s="43"/>
    </row>
    <row r="11" spans="1:16" ht="14.25">
      <c r="A11" s="13">
        <v>5</v>
      </c>
      <c r="B11" s="122"/>
      <c r="C11" s="14" t="s">
        <v>32</v>
      </c>
      <c r="D11" s="87" t="s">
        <v>25</v>
      </c>
      <c r="E11" s="15" t="s">
        <v>24</v>
      </c>
      <c r="F11" s="40">
        <f>G11+H11</f>
        <v>1.19</v>
      </c>
      <c r="G11" s="40">
        <v>0.56</v>
      </c>
      <c r="H11" s="40">
        <v>0.63</v>
      </c>
      <c r="I11" s="83">
        <f>(((3485+3435+1623+1833)/832)*0.89)/1000</f>
        <v>0.011099326923076924</v>
      </c>
      <c r="J11" s="110">
        <v>0.065</v>
      </c>
      <c r="K11" s="83">
        <f>(G11*1.05-I11)*0.89-J11</f>
        <v>0.44844159903846165</v>
      </c>
      <c r="L11" s="98" t="s">
        <v>21</v>
      </c>
      <c r="M11" s="68"/>
      <c r="N11" s="69"/>
      <c r="O11" s="51"/>
      <c r="P11" s="51"/>
    </row>
    <row r="12" spans="1:16" ht="14.25">
      <c r="A12" s="13">
        <v>6</v>
      </c>
      <c r="B12" s="122"/>
      <c r="C12" s="14" t="s">
        <v>32</v>
      </c>
      <c r="D12" s="87" t="s">
        <v>26</v>
      </c>
      <c r="E12" s="15" t="s">
        <v>24</v>
      </c>
      <c r="F12" s="40">
        <v>0.63</v>
      </c>
      <c r="G12" s="40">
        <v>0.63</v>
      </c>
      <c r="H12" s="40"/>
      <c r="I12" s="83">
        <f>(((388+671+14700+12180+2533+2293+3658+3088)/832)*0.89)/1000</f>
        <v>0.042265372596153844</v>
      </c>
      <c r="J12" s="111">
        <v>0.2667</v>
      </c>
      <c r="K12" s="83">
        <f>(G12-I12)*0.89-J12</f>
        <v>0.2563838183894231</v>
      </c>
      <c r="L12" s="98" t="s">
        <v>21</v>
      </c>
      <c r="M12" s="68"/>
      <c r="N12" s="69"/>
      <c r="O12" s="51"/>
      <c r="P12" s="51"/>
    </row>
    <row r="13" spans="1:16" ht="14.25">
      <c r="A13" s="16">
        <v>9</v>
      </c>
      <c r="B13" s="122"/>
      <c r="C13" s="14" t="s">
        <v>32</v>
      </c>
      <c r="D13" s="90" t="s">
        <v>27</v>
      </c>
      <c r="E13" s="17" t="s">
        <v>24</v>
      </c>
      <c r="F13" s="41">
        <v>2</v>
      </c>
      <c r="G13" s="41">
        <v>1</v>
      </c>
      <c r="H13" s="41">
        <v>1</v>
      </c>
      <c r="I13" s="83">
        <f>(((561+648+359+424+2647+2723+9391+10851+13455+7117+2167+1384+143+159+25453+26288)/832)*0.89)/1000</f>
        <v>0.11100396634615385</v>
      </c>
      <c r="J13" s="112">
        <v>0</v>
      </c>
      <c r="K13" s="83">
        <f aca="true" t="shared" si="0" ref="K13:K18">(G13*1.05-I13)*0.89-J13</f>
        <v>0.8357064699519231</v>
      </c>
      <c r="L13" s="98" t="s">
        <v>21</v>
      </c>
      <c r="M13" s="68"/>
      <c r="N13" s="69"/>
      <c r="O13" s="51"/>
      <c r="P13" s="51"/>
    </row>
    <row r="14" spans="1:16" ht="14.25">
      <c r="A14" s="35">
        <v>10</v>
      </c>
      <c r="B14" s="122"/>
      <c r="C14" s="14" t="s">
        <v>32</v>
      </c>
      <c r="D14" s="87" t="s">
        <v>28</v>
      </c>
      <c r="E14" s="47" t="s">
        <v>24</v>
      </c>
      <c r="F14" s="34">
        <f>G14+H14</f>
        <v>1.26</v>
      </c>
      <c r="G14" s="34">
        <v>0.63</v>
      </c>
      <c r="H14" s="34">
        <v>0.63</v>
      </c>
      <c r="I14" s="83">
        <f>(((338+295+1359+8479+626+35+30865+37977+300+327)/832)*0.89)/1000</f>
        <v>0.08621981971153846</v>
      </c>
      <c r="J14" s="112">
        <v>0</v>
      </c>
      <c r="K14" s="83">
        <f t="shared" si="0"/>
        <v>0.5119993604567309</v>
      </c>
      <c r="L14" s="98" t="s">
        <v>21</v>
      </c>
      <c r="M14" s="68"/>
      <c r="N14" s="69"/>
      <c r="O14" s="51"/>
      <c r="P14" s="51"/>
    </row>
    <row r="15" spans="1:16" ht="13.5" customHeight="1" thickBot="1">
      <c r="A15" s="23">
        <v>11</v>
      </c>
      <c r="B15" s="123"/>
      <c r="C15" s="22" t="s">
        <v>32</v>
      </c>
      <c r="D15" s="91" t="s">
        <v>42</v>
      </c>
      <c r="E15" s="24" t="s">
        <v>24</v>
      </c>
      <c r="F15" s="42">
        <v>3.2</v>
      </c>
      <c r="G15" s="42">
        <v>1.6</v>
      </c>
      <c r="H15" s="42">
        <v>1.6</v>
      </c>
      <c r="I15" s="101">
        <f>(((47797+10255+2190+2397+45891+37315-3602-40044)/832)*0.89)/1000</f>
        <v>0.10932344951923076</v>
      </c>
      <c r="J15" s="113">
        <v>0.018</v>
      </c>
      <c r="K15" s="93">
        <f t="shared" si="0"/>
        <v>1.3799021299278849</v>
      </c>
      <c r="L15" s="84" t="s">
        <v>21</v>
      </c>
      <c r="M15" s="68"/>
      <c r="N15" s="69"/>
      <c r="O15" s="51"/>
      <c r="P15" s="51"/>
    </row>
    <row r="16" spans="1:14" s="51" customFormat="1" ht="13.5" customHeight="1" thickBot="1">
      <c r="A16" s="106"/>
      <c r="B16" s="107"/>
      <c r="C16" s="22" t="s">
        <v>32</v>
      </c>
      <c r="D16" s="91" t="s">
        <v>50</v>
      </c>
      <c r="E16" s="24" t="s">
        <v>24</v>
      </c>
      <c r="F16" s="42">
        <v>4</v>
      </c>
      <c r="G16" s="42">
        <v>2</v>
      </c>
      <c r="H16" s="42">
        <v>2</v>
      </c>
      <c r="I16" s="101">
        <f>(((3602+40044)/832)*0.89)/1000</f>
        <v>0.04668862980769231</v>
      </c>
      <c r="J16" s="114">
        <v>0</v>
      </c>
      <c r="K16" s="108">
        <f>(G16*1.05-I16)*0.89-J16</f>
        <v>1.827447119471154</v>
      </c>
      <c r="L16" s="84" t="s">
        <v>21</v>
      </c>
      <c r="M16" s="68"/>
      <c r="N16" s="69"/>
    </row>
    <row r="17" spans="1:17" ht="14.25">
      <c r="A17" s="48">
        <v>12</v>
      </c>
      <c r="B17" s="121" t="s">
        <v>39</v>
      </c>
      <c r="C17" s="21" t="s">
        <v>33</v>
      </c>
      <c r="D17" s="19" t="s">
        <v>34</v>
      </c>
      <c r="E17" s="49" t="s">
        <v>24</v>
      </c>
      <c r="F17" s="50">
        <v>1.26</v>
      </c>
      <c r="G17" s="50">
        <v>0.63</v>
      </c>
      <c r="H17" s="50">
        <v>0.63</v>
      </c>
      <c r="I17" s="74">
        <f>(((28020+26455+2954+2216)/832)*0.89)/1000</f>
        <v>0.06380294471153845</v>
      </c>
      <c r="J17" s="115">
        <v>0</v>
      </c>
      <c r="K17" s="92">
        <f t="shared" si="0"/>
        <v>0.5319503792067308</v>
      </c>
      <c r="L17" s="71" t="s">
        <v>21</v>
      </c>
      <c r="M17" s="68"/>
      <c r="N17" s="70"/>
      <c r="O17" s="52"/>
      <c r="P17" s="52"/>
      <c r="Q17" s="43"/>
    </row>
    <row r="18" spans="1:16" ht="14.25">
      <c r="A18" s="35">
        <v>13</v>
      </c>
      <c r="B18" s="122"/>
      <c r="C18" s="14" t="s">
        <v>33</v>
      </c>
      <c r="D18" s="87" t="s">
        <v>35</v>
      </c>
      <c r="E18" s="47" t="s">
        <v>24</v>
      </c>
      <c r="F18" s="34">
        <v>0.8</v>
      </c>
      <c r="G18" s="34">
        <v>0.4</v>
      </c>
      <c r="H18" s="34">
        <v>0.4</v>
      </c>
      <c r="I18" s="83">
        <f>(((2089+3110+42677+90853+14620+1188+508+1770+439+546+2760+2940+22492+16200+1488+2946)/832)*0.89)/1000</f>
        <v>0.22103021634615386</v>
      </c>
      <c r="J18" s="112">
        <v>0</v>
      </c>
      <c r="K18" s="93">
        <f t="shared" si="0"/>
        <v>0.1770831074519231</v>
      </c>
      <c r="L18" s="72" t="s">
        <v>21</v>
      </c>
      <c r="M18" s="68"/>
      <c r="N18" s="69"/>
      <c r="O18" s="51"/>
      <c r="P18" s="51"/>
    </row>
    <row r="19" spans="1:16" ht="14.25">
      <c r="A19" s="35">
        <v>14</v>
      </c>
      <c r="B19" s="122"/>
      <c r="C19" s="14" t="s">
        <v>33</v>
      </c>
      <c r="D19" s="87" t="s">
        <v>36</v>
      </c>
      <c r="E19" s="47" t="s">
        <v>24</v>
      </c>
      <c r="F19" s="34">
        <v>0.4</v>
      </c>
      <c r="G19" s="34">
        <v>0.4</v>
      </c>
      <c r="H19" s="34"/>
      <c r="I19" s="83">
        <f>(((14208+12400+3793+3133+545+537+598+1328+1744)/832)*0.89)/1000</f>
        <v>0.04095497596153846</v>
      </c>
      <c r="J19" s="112">
        <v>0</v>
      </c>
      <c r="K19" s="93">
        <f>(G19-I19)*0.89-J19</f>
        <v>0.3195500713942308</v>
      </c>
      <c r="L19" s="72" t="s">
        <v>21</v>
      </c>
      <c r="M19" s="68"/>
      <c r="N19" s="69"/>
      <c r="O19" s="51"/>
      <c r="P19" s="51"/>
    </row>
    <row r="20" spans="1:16" ht="15" thickBot="1">
      <c r="A20" s="23">
        <v>15</v>
      </c>
      <c r="B20" s="123"/>
      <c r="C20" s="22" t="s">
        <v>37</v>
      </c>
      <c r="D20" s="91" t="s">
        <v>38</v>
      </c>
      <c r="E20" s="24" t="s">
        <v>24</v>
      </c>
      <c r="F20" s="42">
        <v>0.1</v>
      </c>
      <c r="G20" s="42">
        <v>0.1</v>
      </c>
      <c r="H20" s="42"/>
      <c r="I20" s="101">
        <f>(((3200+3236)/832)*0.89)/1000</f>
        <v>0.006884663461538462</v>
      </c>
      <c r="J20" s="116">
        <v>0</v>
      </c>
      <c r="K20" s="95">
        <f>(G20-I20)*0.89-J20</f>
        <v>0.08287264951923078</v>
      </c>
      <c r="L20" s="84" t="s">
        <v>21</v>
      </c>
      <c r="M20" s="68"/>
      <c r="N20" s="69"/>
      <c r="O20" s="51"/>
      <c r="P20" s="51"/>
    </row>
    <row r="21" spans="1:16" ht="14.25">
      <c r="A21" s="48">
        <v>16</v>
      </c>
      <c r="B21" s="21" t="s">
        <v>40</v>
      </c>
      <c r="C21" s="21" t="s">
        <v>47</v>
      </c>
      <c r="D21" s="19" t="s">
        <v>41</v>
      </c>
      <c r="E21" s="49" t="s">
        <v>24</v>
      </c>
      <c r="F21" s="50">
        <v>0.64</v>
      </c>
      <c r="G21" s="50">
        <v>0.32</v>
      </c>
      <c r="H21" s="50">
        <v>0.32</v>
      </c>
      <c r="I21" s="74">
        <f>(((32320+24910+63429+72883-481-286-16172-14172-10317-15922)/832)*0.89)/1000</f>
        <v>0.14568615384615385</v>
      </c>
      <c r="J21" s="115">
        <v>0</v>
      </c>
      <c r="K21" s="92">
        <f>(G21*1.05-I21)*0.89-J21</f>
        <v>0.16937932307692308</v>
      </c>
      <c r="L21" s="71" t="s">
        <v>21</v>
      </c>
      <c r="M21" s="68"/>
      <c r="N21" s="69"/>
      <c r="O21" s="51"/>
      <c r="P21" s="51"/>
    </row>
    <row r="22" spans="1:14" s="51" customFormat="1" ht="15" thickBot="1">
      <c r="A22" s="36">
        <v>17</v>
      </c>
      <c r="B22" s="37" t="s">
        <v>40</v>
      </c>
      <c r="C22" s="37" t="s">
        <v>47</v>
      </c>
      <c r="D22" s="88" t="s">
        <v>48</v>
      </c>
      <c r="E22" s="38" t="s">
        <v>24</v>
      </c>
      <c r="F22" s="67">
        <v>0.63</v>
      </c>
      <c r="G22" s="67">
        <v>0.63</v>
      </c>
      <c r="H22" s="67"/>
      <c r="I22" s="85">
        <f>(((481+286+16172+14172+10317+15922)/832)*0.89)/1000</f>
        <v>0.06134795673076923</v>
      </c>
      <c r="J22" s="117">
        <v>0</v>
      </c>
      <c r="K22" s="94">
        <f>(G22*1.05-I22)*0.89-J22</f>
        <v>0.5341353185096155</v>
      </c>
      <c r="L22" s="73" t="s">
        <v>21</v>
      </c>
      <c r="M22" s="68"/>
      <c r="N22" s="69"/>
    </row>
    <row r="23" spans="1:16" ht="23.25" customHeight="1" thickBot="1">
      <c r="A23" s="102">
        <v>18</v>
      </c>
      <c r="B23" s="44" t="s">
        <v>44</v>
      </c>
      <c r="C23" s="103" t="s">
        <v>45</v>
      </c>
      <c r="D23" s="45" t="s">
        <v>43</v>
      </c>
      <c r="E23" s="46" t="s">
        <v>20</v>
      </c>
      <c r="F23" s="104">
        <v>4</v>
      </c>
      <c r="G23" s="104">
        <v>2</v>
      </c>
      <c r="H23" s="104">
        <v>2</v>
      </c>
      <c r="I23" s="105">
        <f>(((56264+79982)/832)*0.89)/1000</f>
        <v>0.14574391826923078</v>
      </c>
      <c r="J23" s="114">
        <v>0</v>
      </c>
      <c r="K23" s="96">
        <f>(G23*1.05-I23)*0.89-J23</f>
        <v>1.7392879127403846</v>
      </c>
      <c r="L23" s="86" t="s">
        <v>21</v>
      </c>
      <c r="M23" s="51"/>
      <c r="N23" s="51"/>
      <c r="O23" s="51"/>
      <c r="P23" s="51"/>
    </row>
    <row r="24" spans="1:16" ht="14.25">
      <c r="A24" s="25"/>
      <c r="B24" s="26"/>
      <c r="C24" s="26"/>
      <c r="D24" s="27"/>
      <c r="E24" s="28"/>
      <c r="F24" s="29"/>
      <c r="G24" s="29"/>
      <c r="H24" s="29"/>
      <c r="I24" s="30"/>
      <c r="J24" s="31"/>
      <c r="K24" s="32"/>
      <c r="L24" s="33"/>
      <c r="M24" s="51"/>
      <c r="N24" s="51"/>
      <c r="O24" s="51"/>
      <c r="P24" s="51"/>
    </row>
    <row r="25" spans="1:10" ht="30.75">
      <c r="A25" s="18" t="s">
        <v>29</v>
      </c>
      <c r="I25" s="54"/>
      <c r="J25" s="54"/>
    </row>
  </sheetData>
  <sheetProtection password="ABD7" sheet="1"/>
  <mergeCells count="16">
    <mergeCell ref="C3:C5"/>
    <mergeCell ref="D3:D5"/>
    <mergeCell ref="E3:E5"/>
    <mergeCell ref="I3:I4"/>
    <mergeCell ref="J3:J4"/>
    <mergeCell ref="K3:K4"/>
    <mergeCell ref="B7:B9"/>
    <mergeCell ref="B17:B20"/>
    <mergeCell ref="B10:B15"/>
    <mergeCell ref="A1:L1"/>
    <mergeCell ref="F3:H3"/>
    <mergeCell ref="F5:H5"/>
    <mergeCell ref="F6:H6"/>
    <mergeCell ref="A3:A5"/>
    <mergeCell ref="B3:B5"/>
    <mergeCell ref="L3:L5"/>
  </mergeCells>
  <printOptions/>
  <pageMargins left="0.7" right="0.7" top="0.75" bottom="0.75" header="0.3" footer="0.3"/>
  <pageSetup horizontalDpi="600" verticalDpi="600" orientation="landscape" paperSize="9" r:id="rId1"/>
  <ignoredErrors>
    <ignoredError sqref="K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2019-12-30T08:32:17Z</dcterms:modified>
  <cp:category/>
  <cp:version/>
  <cp:contentType/>
  <cp:contentStatus/>
</cp:coreProperties>
</file>